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05" activeTab="0"/>
  </bookViews>
  <sheets>
    <sheet name="Design" sheetId="1" r:id="rId1"/>
    <sheet name="Alt Ported Cab" sheetId="2" r:id="rId2"/>
    <sheet name="Speakers" sheetId="3" r:id="rId3"/>
  </sheets>
  <definedNames/>
  <calcPr fullCalcOnLoad="1"/>
</workbook>
</file>

<file path=xl/sharedStrings.xml><?xml version="1.0" encoding="utf-8"?>
<sst xmlns="http://schemas.openxmlformats.org/spreadsheetml/2006/main" count="92" uniqueCount="58">
  <si>
    <t>Speaker</t>
  </si>
  <si>
    <t>The Governor</t>
  </si>
  <si>
    <r>
      <t xml:space="preserve">Source: </t>
    </r>
    <r>
      <rPr>
        <sz val="10"/>
        <color indexed="12"/>
        <rFont val="Arial"/>
        <family val="2"/>
      </rPr>
      <t>http://diyaudiocorner.tripod.com/formula.htm</t>
    </r>
  </si>
  <si>
    <t>fs (hz)</t>
  </si>
  <si>
    <t>Qms</t>
  </si>
  <si>
    <t>Qes</t>
  </si>
  <si>
    <t>Qts</t>
  </si>
  <si>
    <t>Vas (cu ft)</t>
  </si>
  <si>
    <t>Vas (litres)</t>
  </si>
  <si>
    <t>EBP</t>
  </si>
  <si>
    <t>Ported enclosure indicated</t>
  </si>
  <si>
    <t>50 or less = best used in a sealed enclosure.
50 - 90 = flexible enclosure options.
90 or greater = best used in ported enclosure.</t>
  </si>
  <si>
    <t>Cabinet Calculations</t>
  </si>
  <si>
    <t>Desired Qtc</t>
  </si>
  <si>
    <t>Choose: 0.707 to 1.0 with 0.707 being 'cleaner' and 1.0 being 'darker and warmer'</t>
  </si>
  <si>
    <t>Sealed Cabinet</t>
  </si>
  <si>
    <t>Cabinet Volume (Vb)</t>
  </si>
  <si>
    <t>Vb = Vas / (0.70 / Qts)^2 – 1</t>
  </si>
  <si>
    <t>cu. ft.</t>
  </si>
  <si>
    <t>cu. in.</t>
  </si>
  <si>
    <t>Resonant Frequency (Fcb)</t>
  </si>
  <si>
    <t>Fcb = 0.70 / Qts ( Fs)</t>
  </si>
  <si>
    <t>Theoretical Cutoff Freq (F3)</t>
  </si>
  <si>
    <t>F3 Factor</t>
  </si>
  <si>
    <t>Ported Cabinet</t>
  </si>
  <si>
    <t>Vb = 15 Vas (Qts^2.87)</t>
  </si>
  <si>
    <t>Choose Vb</t>
  </si>
  <si>
    <t>Drop D (D2) = 73.42hz</t>
  </si>
  <si>
    <t>F3 = 0.26 Fs (Qts^ -1.4)</t>
  </si>
  <si>
    <t>Alt F3</t>
  </si>
  <si>
    <t>F3 = (Vas / Vb)^1/2 (Fs)</t>
  </si>
  <si>
    <t>Low E String (E2) = 82.41hz</t>
  </si>
  <si>
    <t>Choose Vb so Alt F3 &lt; Hz</t>
  </si>
  <si>
    <t>Tuning Frequency (Fb)</t>
  </si>
  <si>
    <t>Fb = 0.42 Fs (Qts^ -0.9)</t>
  </si>
  <si>
    <t>Alt Fb</t>
  </si>
  <si>
    <t>Fb = (Vas / Vb)^0.32 (Fs)</t>
  </si>
  <si>
    <t>Low G (G2) = 98.00hz</t>
  </si>
  <si>
    <t>Port Radius</t>
  </si>
  <si>
    <t>5 – 6” for 12 inch driver</t>
  </si>
  <si>
    <t>Choose R</t>
  </si>
  <si>
    <t>Port Area</t>
  </si>
  <si>
    <t>Vb (cu. in.)</t>
  </si>
  <si>
    <t>Vb = box volume in cubic inches (multiply cubic ft by 1728 to find cubic in ).</t>
  </si>
  <si>
    <t>Lv</t>
  </si>
  <si>
    <t>Lv = [1.463 (10^7) (R)^2 / (Fb^2) (Vb)] - (1.463) R</t>
  </si>
  <si>
    <t>Inside Dimensions</t>
  </si>
  <si>
    <t>Outside Dimensions</t>
  </si>
  <si>
    <t>Depth(in)</t>
  </si>
  <si>
    <t>deep</t>
  </si>
  <si>
    <t>Width(in)</t>
  </si>
  <si>
    <t>wide</t>
  </si>
  <si>
    <t>Height(in)</t>
  </si>
  <si>
    <t>high</t>
  </si>
  <si>
    <t>Port Size (in)</t>
  </si>
  <si>
    <t>Speaker Hole</t>
  </si>
  <si>
    <t xml:space="preserve"> = 5.5 x 2 (keep the line)</t>
  </si>
  <si>
    <t>WGS Vet 30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</si>
</sst>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.0000"/>
    <numFmt numFmtId="167" formatCode="0.00"/>
  </numFmts>
  <fonts count="3"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/>
    </xf>
    <xf numFmtId="164" fontId="0" fillId="0" borderId="0" xfId="0" applyFont="1" applyAlignment="1">
      <alignment wrapText="1"/>
    </xf>
    <xf numFmtId="166" fontId="0" fillId="0" borderId="0" xfId="0" applyNumberFormat="1" applyAlignment="1">
      <alignment/>
    </xf>
    <xf numFmtId="164" fontId="1" fillId="2" borderId="0" xfId="0" applyFont="1" applyFill="1" applyAlignment="1">
      <alignment/>
    </xf>
    <xf numFmtId="164" fontId="0" fillId="0" borderId="0" xfId="0" applyFont="1" applyAlignment="1">
      <alignment/>
    </xf>
    <xf numFmtId="164" fontId="1" fillId="3" borderId="0" xfId="0" applyFont="1" applyFill="1" applyAlignment="1">
      <alignment/>
    </xf>
    <xf numFmtId="164" fontId="0" fillId="3" borderId="0" xfId="0" applyFill="1" applyAlignment="1">
      <alignment/>
    </xf>
    <xf numFmtId="167" fontId="0" fillId="0" borderId="0" xfId="0" applyNumberFormat="1" applyAlignment="1">
      <alignment/>
    </xf>
    <xf numFmtId="166" fontId="0" fillId="3" borderId="0" xfId="0" applyNumberFormat="1" applyFill="1" applyAlignment="1">
      <alignment/>
    </xf>
    <xf numFmtId="167" fontId="0" fillId="3" borderId="0" xfId="0" applyNumberFormat="1" applyFill="1" applyAlignment="1">
      <alignment/>
    </xf>
    <xf numFmtId="164" fontId="0" fillId="2" borderId="0" xfId="0" applyFill="1" applyAlignment="1">
      <alignment/>
    </xf>
    <xf numFmtId="166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iyaudiocorner.tripod.com/formula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23.00390625" style="0" customWidth="1"/>
    <col min="2" max="2" width="13.00390625" style="0" customWidth="1"/>
    <col min="3" max="3" width="25.8515625" style="0" customWidth="1"/>
    <col min="4" max="16384" width="11.57421875" style="0" customWidth="1"/>
  </cols>
  <sheetData>
    <row r="1" spans="1:4" ht="12.75">
      <c r="A1" s="1" t="s">
        <v>0</v>
      </c>
      <c r="B1" t="s">
        <v>1</v>
      </c>
      <c r="D1" t="s">
        <v>2</v>
      </c>
    </row>
    <row r="2" spans="1:2" ht="12.75">
      <c r="A2" t="s">
        <v>3</v>
      </c>
      <c r="B2">
        <v>101</v>
      </c>
    </row>
    <row r="3" spans="1:2" ht="12.75">
      <c r="A3" t="s">
        <v>4</v>
      </c>
      <c r="B3">
        <v>11.41</v>
      </c>
    </row>
    <row r="4" spans="1:2" ht="12.75">
      <c r="A4" t="s">
        <v>5</v>
      </c>
      <c r="B4">
        <v>0.59</v>
      </c>
    </row>
    <row r="5" spans="1:2" ht="12.75">
      <c r="A5" t="s">
        <v>6</v>
      </c>
      <c r="B5">
        <v>0.56</v>
      </c>
    </row>
    <row r="6" spans="1:2" ht="12.75">
      <c r="A6" t="s">
        <v>7</v>
      </c>
      <c r="B6">
        <v>1.1</v>
      </c>
    </row>
    <row r="7" spans="1:2" ht="12.75">
      <c r="A7" t="s">
        <v>8</v>
      </c>
      <c r="B7">
        <v>30.1</v>
      </c>
    </row>
    <row r="8" spans="1:4" ht="12.75">
      <c r="A8" t="s">
        <v>9</v>
      </c>
      <c r="B8" s="2">
        <f>(B2/B4)</f>
        <v>171.18644067796612</v>
      </c>
      <c r="C8" s="1" t="s">
        <v>10</v>
      </c>
      <c r="D8" s="3" t="s">
        <v>11</v>
      </c>
    </row>
    <row r="10" ht="12.75">
      <c r="A10" s="1" t="s">
        <v>12</v>
      </c>
    </row>
    <row r="11" spans="1:3" ht="12.75">
      <c r="A11" t="s">
        <v>13</v>
      </c>
      <c r="B11">
        <v>0.707</v>
      </c>
      <c r="C11" t="s">
        <v>14</v>
      </c>
    </row>
    <row r="13" ht="12.75">
      <c r="A13" s="1" t="s">
        <v>15</v>
      </c>
    </row>
    <row r="14" spans="1:6" ht="12.75">
      <c r="A14" t="s">
        <v>16</v>
      </c>
      <c r="B14" s="4">
        <f>(B6/((B11/B5)^2-1))</f>
        <v>1.8521441725861636</v>
      </c>
      <c r="C14" t="s">
        <v>17</v>
      </c>
      <c r="D14" t="s">
        <v>18</v>
      </c>
      <c r="E14" s="4">
        <f>(B14*1728)</f>
        <v>3200.5051302288907</v>
      </c>
      <c r="F14" t="s">
        <v>19</v>
      </c>
    </row>
    <row r="15" spans="1:3" ht="12.75">
      <c r="A15" t="s">
        <v>20</v>
      </c>
      <c r="B15" s="2">
        <f>(B11/B5*B2)</f>
        <v>127.51249999999997</v>
      </c>
      <c r="C15" t="s">
        <v>21</v>
      </c>
    </row>
    <row r="16" spans="1:4" ht="12.75">
      <c r="A16" t="s">
        <v>22</v>
      </c>
      <c r="B16" s="2">
        <f>(B15*D16)</f>
        <v>127.51249999999997</v>
      </c>
      <c r="C16" t="s">
        <v>23</v>
      </c>
      <c r="D16">
        <v>1</v>
      </c>
    </row>
    <row r="18" ht="12.75">
      <c r="A18" s="1" t="s">
        <v>24</v>
      </c>
    </row>
    <row r="19" spans="1:8" ht="12.75">
      <c r="A19" t="s">
        <v>16</v>
      </c>
      <c r="B19" s="2">
        <f>(15*B6*(B5^2.87))</f>
        <v>3.1245219626363423</v>
      </c>
      <c r="C19" t="s">
        <v>25</v>
      </c>
      <c r="D19" s="5" t="s">
        <v>26</v>
      </c>
      <c r="E19" s="5">
        <v>2.2</v>
      </c>
      <c r="F19" t="s">
        <v>18</v>
      </c>
      <c r="H19" t="s">
        <v>27</v>
      </c>
    </row>
    <row r="20" spans="1:10" ht="12.75">
      <c r="A20" t="s">
        <v>22</v>
      </c>
      <c r="B20" s="2">
        <f>(0.26*B2*(B5^-1.4))</f>
        <v>59.13321394451928</v>
      </c>
      <c r="C20" t="s">
        <v>28</v>
      </c>
      <c r="D20" s="6" t="s">
        <v>29</v>
      </c>
      <c r="E20" s="4">
        <f>((B6/E19)^(1/2))*B2</f>
        <v>71.41778489984131</v>
      </c>
      <c r="F20" t="s">
        <v>30</v>
      </c>
      <c r="H20" t="s">
        <v>31</v>
      </c>
      <c r="J20" s="1" t="s">
        <v>32</v>
      </c>
    </row>
    <row r="21" spans="1:8" ht="12.75">
      <c r="A21" t="s">
        <v>33</v>
      </c>
      <c r="B21" s="2">
        <f>(0.42*B2*(B5^-0.9))</f>
        <v>71.48278095297051</v>
      </c>
      <c r="C21" t="s">
        <v>34</v>
      </c>
      <c r="D21" s="6" t="s">
        <v>35</v>
      </c>
      <c r="E21" s="4">
        <f>(B6/E19)^0.32*B2</f>
        <v>80.90805763655183</v>
      </c>
      <c r="F21" t="s">
        <v>36</v>
      </c>
      <c r="H21" t="s">
        <v>37</v>
      </c>
    </row>
    <row r="23" spans="1:9" ht="12.75">
      <c r="A23" s="1" t="s">
        <v>38</v>
      </c>
      <c r="B23">
        <v>4.5</v>
      </c>
      <c r="C23" t="s">
        <v>39</v>
      </c>
      <c r="D23" s="5" t="s">
        <v>40</v>
      </c>
      <c r="E23" s="5">
        <v>2.95</v>
      </c>
      <c r="H23" t="s">
        <v>41</v>
      </c>
      <c r="I23" s="2">
        <f>PI()*E23^2</f>
        <v>27.339710067865177</v>
      </c>
    </row>
    <row r="24" spans="1:6" ht="12.75">
      <c r="A24" t="s">
        <v>42</v>
      </c>
      <c r="B24" s="2">
        <f>(B19*1728)</f>
        <v>5399.1739514355995</v>
      </c>
      <c r="E24" s="2">
        <f>(E19*1728)</f>
        <v>3801.6000000000004</v>
      </c>
      <c r="F24" t="s">
        <v>43</v>
      </c>
    </row>
    <row r="25" spans="1:6" ht="12.75">
      <c r="A25" t="s">
        <v>44</v>
      </c>
      <c r="B25" s="2">
        <f>(((1.463*(10^7)*(B23^2))/((E21^2)*(B24)))-((1.463)*B23))</f>
        <v>1.79870896609299</v>
      </c>
      <c r="E25" s="4">
        <f>(((1.463*(10^7)*(E23^2))/((E21^2)*(E24)))-((1.463)*E23))</f>
        <v>0.8002425090172567</v>
      </c>
      <c r="F25" t="s">
        <v>45</v>
      </c>
    </row>
    <row r="26" spans="2:8" ht="12.75">
      <c r="B26" s="1" t="s">
        <v>46</v>
      </c>
      <c r="E26" s="7" t="s">
        <v>46</v>
      </c>
      <c r="F26" s="8"/>
      <c r="G26" s="7" t="s">
        <v>47</v>
      </c>
      <c r="H26" s="8"/>
    </row>
    <row r="27" spans="1:8" ht="12.75">
      <c r="A27" t="s">
        <v>48</v>
      </c>
      <c r="B27">
        <v>10</v>
      </c>
      <c r="C27" s="2">
        <f>B27+1.5</f>
        <v>11.5</v>
      </c>
      <c r="E27" s="8">
        <v>10</v>
      </c>
      <c r="F27" s="8"/>
      <c r="G27" s="8">
        <f>E27+1.5</f>
        <v>11.5</v>
      </c>
      <c r="H27" s="8" t="s">
        <v>49</v>
      </c>
    </row>
    <row r="28" spans="1:8" ht="12.75">
      <c r="A28" t="s">
        <v>50</v>
      </c>
      <c r="B28">
        <v>22.5</v>
      </c>
      <c r="C28" s="2">
        <f>B28+1.5</f>
        <v>24</v>
      </c>
      <c r="E28" s="8">
        <v>22.5</v>
      </c>
      <c r="F28" s="8"/>
      <c r="G28" s="8">
        <f>E28+1.5</f>
        <v>24</v>
      </c>
      <c r="H28" s="8" t="s">
        <v>51</v>
      </c>
    </row>
    <row r="29" spans="1:8" ht="12.75">
      <c r="A29" t="s">
        <v>52</v>
      </c>
      <c r="B29" s="9">
        <f>(B24/B27)/B28</f>
        <v>23.99632867304711</v>
      </c>
      <c r="C29" s="9">
        <f>B29+1.5</f>
        <v>25.49632867304711</v>
      </c>
      <c r="E29" s="10">
        <f>(E24/E27)/E28</f>
        <v>16.896</v>
      </c>
      <c r="F29" s="8"/>
      <c r="G29" s="11">
        <f>E29+1.5</f>
        <v>18.396</v>
      </c>
      <c r="H29" s="8" t="s">
        <v>53</v>
      </c>
    </row>
    <row r="30" spans="5:7" ht="12.75">
      <c r="E30" s="5" t="s">
        <v>54</v>
      </c>
      <c r="F30" s="12">
        <v>3.5</v>
      </c>
      <c r="G30" s="13">
        <f>I23/F30</f>
        <v>7.811345733675765</v>
      </c>
    </row>
    <row r="31" spans="5:7" ht="12.75">
      <c r="E31" t="s">
        <v>55</v>
      </c>
      <c r="F31">
        <v>10.97</v>
      </c>
      <c r="G31" t="s">
        <v>56</v>
      </c>
    </row>
  </sheetData>
  <sheetProtection selectLockedCells="1" selectUnlockedCells="1"/>
  <hyperlinks>
    <hyperlink ref="D1" r:id="rId1" display="http://diyaudiocorner.tripod.com/formula.htm"/>
  </hyperlink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D10" sqref="D10"/>
    </sheetView>
  </sheetViews>
  <sheetFormatPr defaultColWidth="12.57421875" defaultRowHeight="12.75"/>
  <cols>
    <col min="1" max="16384" width="11.57421875" style="0" customWidth="1"/>
  </cols>
  <sheetData>
    <row r="1" spans="1:5" ht="12.75">
      <c r="A1" s="5" t="s">
        <v>26</v>
      </c>
      <c r="B1" s="5">
        <v>1.83</v>
      </c>
      <c r="C1" t="s">
        <v>18</v>
      </c>
      <c r="E1" t="s">
        <v>27</v>
      </c>
    </row>
    <row r="2" spans="1:7" ht="12.75">
      <c r="A2" s="6" t="s">
        <v>29</v>
      </c>
      <c r="B2" s="4">
        <f>((Design!B6/B1)^(1/2))*Design!B2</f>
        <v>78.30548278300684</v>
      </c>
      <c r="C2" t="s">
        <v>30</v>
      </c>
      <c r="E2" t="s">
        <v>31</v>
      </c>
      <c r="G2" s="1" t="s">
        <v>32</v>
      </c>
    </row>
    <row r="3" spans="1:5" ht="12.75">
      <c r="A3" s="6" t="s">
        <v>35</v>
      </c>
      <c r="B3" s="4">
        <f>(Design!B6/B1)^0.32*Design!B2</f>
        <v>85.8188487686548</v>
      </c>
      <c r="C3" t="s">
        <v>36</v>
      </c>
      <c r="E3" t="s">
        <v>37</v>
      </c>
    </row>
    <row r="5" spans="1:6" ht="12.75">
      <c r="A5" s="5" t="s">
        <v>40</v>
      </c>
      <c r="B5" s="5">
        <v>2.75</v>
      </c>
      <c r="E5" t="s">
        <v>41</v>
      </c>
      <c r="F5" s="2">
        <f>PI()*B5^2</f>
        <v>23.75829444277281</v>
      </c>
    </row>
    <row r="6" spans="2:3" ht="12.75">
      <c r="B6" s="2">
        <f>(B1*1728)</f>
        <v>3162.2400000000002</v>
      </c>
      <c r="C6" t="s">
        <v>43</v>
      </c>
    </row>
    <row r="7" spans="2:3" ht="12.75">
      <c r="B7" s="4">
        <f>(((1.463*(10^7)*(B5^2))/((B3^2)*(B6)))-((1.463)*B5))</f>
        <v>0.727361516921686</v>
      </c>
      <c r="C7" t="s">
        <v>45</v>
      </c>
    </row>
    <row r="8" spans="2:5" ht="12.75">
      <c r="B8" s="7" t="s">
        <v>46</v>
      </c>
      <c r="C8" s="8"/>
      <c r="D8" s="7" t="s">
        <v>47</v>
      </c>
      <c r="E8" s="8"/>
    </row>
    <row r="9" spans="2:5" ht="12.75">
      <c r="B9" s="8">
        <v>10</v>
      </c>
      <c r="C9" s="8"/>
      <c r="D9" s="8">
        <f>B9+1.5</f>
        <v>11.5</v>
      </c>
      <c r="E9" s="8" t="s">
        <v>49</v>
      </c>
    </row>
    <row r="10" spans="2:5" ht="12.75">
      <c r="B10" s="8">
        <v>21</v>
      </c>
      <c r="C10" s="8"/>
      <c r="D10" s="8">
        <f>B10+1.5</f>
        <v>22.5</v>
      </c>
      <c r="E10" s="8" t="s">
        <v>51</v>
      </c>
    </row>
    <row r="11" spans="2:5" ht="12.75">
      <c r="B11" s="10">
        <f>(B6/B9)/B10</f>
        <v>15.058285714285716</v>
      </c>
      <c r="C11" s="8"/>
      <c r="D11" s="11">
        <f>B11+1.5</f>
        <v>16.558285714285716</v>
      </c>
      <c r="E11" s="8" t="s">
        <v>53</v>
      </c>
    </row>
    <row r="12" spans="2:4" ht="12.75">
      <c r="B12" s="5" t="s">
        <v>54</v>
      </c>
      <c r="C12" s="12">
        <v>3.25</v>
      </c>
      <c r="D12" s="13">
        <f>F5/C12</f>
        <v>7.310244443930096</v>
      </c>
    </row>
    <row r="13" spans="2:4" ht="12.75">
      <c r="B13" t="s">
        <v>55</v>
      </c>
      <c r="C13">
        <v>10.97</v>
      </c>
      <c r="D13" t="s">
        <v>56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B1" sqref="B1"/>
    </sheetView>
  </sheetViews>
  <sheetFormatPr defaultColWidth="12.57421875" defaultRowHeight="12.75"/>
  <cols>
    <col min="1" max="16384" width="11.57421875" style="0" customWidth="1"/>
  </cols>
  <sheetData>
    <row r="1" spans="1:3" ht="12.75">
      <c r="A1" s="1" t="s">
        <v>0</v>
      </c>
      <c r="B1" t="s">
        <v>1</v>
      </c>
      <c r="C1" t="s">
        <v>57</v>
      </c>
    </row>
    <row r="2" spans="1:3" ht="12.75">
      <c r="A2" t="s">
        <v>3</v>
      </c>
      <c r="B2">
        <v>101</v>
      </c>
      <c r="C2">
        <v>93.75</v>
      </c>
    </row>
    <row r="3" spans="1:3" ht="12.75">
      <c r="A3" t="s">
        <v>4</v>
      </c>
      <c r="B3">
        <v>11.41</v>
      </c>
      <c r="C3">
        <v>12.3164</v>
      </c>
    </row>
    <row r="4" spans="1:3" ht="12.75">
      <c r="A4" t="s">
        <v>5</v>
      </c>
      <c r="B4">
        <v>0.59</v>
      </c>
      <c r="C4">
        <v>0.7763</v>
      </c>
    </row>
    <row r="5" spans="1:3" ht="12.75">
      <c r="A5" t="s">
        <v>6</v>
      </c>
      <c r="B5">
        <v>0.56</v>
      </c>
      <c r="C5">
        <v>0.7303000000000001</v>
      </c>
    </row>
    <row r="6" spans="1:3" ht="12.75">
      <c r="A6" t="s">
        <v>7</v>
      </c>
      <c r="B6">
        <v>1.1</v>
      </c>
      <c r="C6">
        <v>1.629</v>
      </c>
    </row>
    <row r="7" spans="1:2" ht="12.75">
      <c r="A7" t="s">
        <v>8</v>
      </c>
      <c r="B7">
        <v>30.1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Todd Fredrich</cp:lastModifiedBy>
  <dcterms:created xsi:type="dcterms:W3CDTF">2013-07-05T15:49:39Z</dcterms:created>
  <dcterms:modified xsi:type="dcterms:W3CDTF">2013-08-14T17:32:07Z</dcterms:modified>
  <cp:category/>
  <cp:version/>
  <cp:contentType/>
  <cp:contentStatus/>
  <cp:revision>78</cp:revision>
</cp:coreProperties>
</file>